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puts" sheetId="1" state="visible" r:id="rId3"/>
    <sheet name="Ramp24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<sst xmlns="http://schemas.openxmlformats.org/spreadsheetml/2006/main" count="65" uniqueCount="65">
  <si>
    <t xml:space="preserve">Truck parking financial model</t>
  </si>
  <si>
    <t xml:space="preserve">Free template by TIRpark (tirpark.app). Edit the blue cells on yellow; everything else calculates.</t>
  </si>
  <si>
    <t xml:space="preserve">Site</t>
  </si>
  <si>
    <t xml:space="preserve">Usable acres</t>
  </si>
  <si>
    <t xml:space="preserve">After drive lanes and setbacks, 70-85% of the parcel is typical</t>
  </si>
  <si>
    <t xml:space="preserve">Spaces per acre</t>
  </si>
  <si>
    <t xml:space="preserve">US rule of thumb: 25-30 full-size semi spaces per usable acre</t>
  </si>
  <si>
    <t xml:space="preserve">Total spaces</t>
  </si>
  <si>
    <t xml:space="preserve">Revenue assumptions (steady state)</t>
  </si>
  <si>
    <t xml:space="preserve">Monthly tenants at capacity</t>
  </si>
  <si>
    <t xml:space="preserve">The revenue base: local fleets, owner-operators, trailer drops</t>
  </si>
  <si>
    <t xml:space="preserve">Monthly rate per space</t>
  </si>
  <si>
    <t xml:space="preserve">US listed range $150-500 for a full semi setup; secured yards top the range</t>
  </si>
  <si>
    <t xml:space="preserve">Transient spaces</t>
  </si>
  <si>
    <t xml:space="preserve">Spaces left for overnight drive-ups</t>
  </si>
  <si>
    <t xml:space="preserve">Transient occupancy</t>
  </si>
  <si>
    <t xml:space="preserve">Conservative; swings with season and corridor</t>
  </si>
  <si>
    <t xml:space="preserve">Daily rate</t>
  </si>
  <si>
    <t xml:space="preserve">US listed range $15-40 per night</t>
  </si>
  <si>
    <t xml:space="preserve">Other monthly income</t>
  </si>
  <si>
    <t xml:space="preserve">Trailer storage, reserved signage, late fees</t>
  </si>
  <si>
    <t xml:space="preserve">Cost assumptions (monthly)</t>
  </si>
  <si>
    <t xml:space="preserve">Ground lease (0 if owned)</t>
  </si>
  <si>
    <t xml:space="preserve">IOS leases commonly $3,500-6,500 per acre per month in hot markets; rural far less</t>
  </si>
  <si>
    <t xml:space="preserve">Insurance</t>
  </si>
  <si>
    <t xml:space="preserve">General liability</t>
  </si>
  <si>
    <t xml:space="preserve">Lighting and utilities</t>
  </si>
  <si>
    <t xml:space="preserve">Staffing (0 if self-run)</t>
  </si>
  <si>
    <t xml:space="preserve">One part-time attendant; adjust to your shift plan</t>
  </si>
  <si>
    <t xml:space="preserve">Software and phone</t>
  </si>
  <si>
    <t xml:space="preserve">TIRpark: first month free, then one subscription per lot</t>
  </si>
  <si>
    <t xml:space="preserve">Other fixed</t>
  </si>
  <si>
    <t xml:space="preserve">Variable costs, % of revenue</t>
  </si>
  <si>
    <t xml:space="preserve">Card fees, maintenance, bad debt</t>
  </si>
  <si>
    <t xml:space="preserve">Startup</t>
  </si>
  <si>
    <t xml:space="preserve">One-time startup cost</t>
  </si>
  <si>
    <t xml:space="preserve">Grading, rock, lights, fence, signage - Section 8 of the plan</t>
  </si>
  <si>
    <t xml:space="preserve">Steady-state summary (calculated)</t>
  </si>
  <si>
    <t xml:space="preserve">Monthly tenant revenue</t>
  </si>
  <si>
    <t xml:space="preserve">Transient revenue</t>
  </si>
  <si>
    <t xml:space="preserve">30.4 = average days per month</t>
  </si>
  <si>
    <t xml:space="preserve">Gross monthly revenue</t>
  </si>
  <si>
    <t xml:space="preserve">Variable costs</t>
  </si>
  <si>
    <t xml:space="preserve">Fixed costs</t>
  </si>
  <si>
    <t xml:space="preserve">Net monthly contribution</t>
  </si>
  <si>
    <t xml:space="preserve">Annualized net</t>
  </si>
  <si>
    <t xml:space="preserve">Operating costs, % of gross</t>
  </si>
  <si>
    <t xml:space="preserve">Sanity check: leased yards commonly run 40-60%</t>
  </si>
  <si>
    <t xml:space="preserve">Breakeven month (from Ramp24)</t>
  </si>
  <si>
    <t xml:space="preserve">First month cumulative cash covers the startup cost</t>
  </si>
  <si>
    <t xml:space="preserve">24-month ramp</t>
  </si>
  <si>
    <t xml:space="preserve">Tenants ramp from a starting count by monthly net adds until capacity; transient occupancy is applied from month 1.</t>
  </si>
  <si>
    <t xml:space="preserve">Month</t>
  </si>
  <si>
    <t xml:space="preserve">Tenants</t>
  </si>
  <si>
    <t xml:space="preserve">Tenant rev</t>
  </si>
  <si>
    <t xml:space="preserve">Transient rev</t>
  </si>
  <si>
    <t xml:space="preserve">Other</t>
  </si>
  <si>
    <t xml:space="preserve">Gross</t>
  </si>
  <si>
    <t xml:space="preserve">Variable</t>
  </si>
  <si>
    <t xml:space="preserve">Fixed</t>
  </si>
  <si>
    <t xml:space="preserve">Net</t>
  </si>
  <si>
    <t xml:space="preserve">Cumulative</t>
  </si>
  <si>
    <t xml:space="preserve">BE flag</t>
  </si>
  <si>
    <t xml:space="preserve">Starting tenants</t>
  </si>
  <si>
    <t xml:space="preserve">Net adds / month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</si>
</sst>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\$#,##0;&quot;($&quot;#,##0\);\-"/>
    <numFmt numFmtId="167" formatCode="0.0%"/>
  </numFmts>
  <fonts count="9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4"/>
      <name val="Arial"/>
      <family val="0"/>
      <charset val="1"/>
    </font>
    <font>
      <sz val="9"/>
      <color rgb="FF808080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EF2FF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F2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52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n">
        <v>3</v>
      </c>
      <c r="C5" s="2" t="s">
        <v>4</v>
      </c>
    </row>
    <row r="6" customFormat="false" ht="15" hidden="false" customHeight="false" outlineLevel="0" collapsed="false">
      <c r="A6" s="4" t="s">
        <v>5</v>
      </c>
      <c r="B6" s="5" t="n">
        <v>27</v>
      </c>
      <c r="C6" s="2" t="s">
        <v>6</v>
      </c>
    </row>
    <row r="7" customFormat="false" ht="15" hidden="false" customHeight="false" outlineLevel="0" collapsed="false">
      <c r="A7" s="3" t="s">
        <v>7</v>
      </c>
      <c r="B7" s="6" t="n">
        <f aca="false">ROUND(B5*B6,0)</f>
        <v>81</v>
      </c>
    </row>
    <row r="9" customFormat="false" ht="15" hidden="false" customHeight="false" outlineLevel="0" collapsed="false">
      <c r="A9" s="3" t="s">
        <v>8</v>
      </c>
    </row>
    <row r="10" customFormat="false" ht="15" hidden="false" customHeight="false" outlineLevel="0" collapsed="false">
      <c r="A10" s="4" t="s">
        <v>9</v>
      </c>
      <c r="B10" s="5" t="n">
        <v>55</v>
      </c>
      <c r="C10" s="2" t="s">
        <v>10</v>
      </c>
    </row>
    <row r="11" customFormat="false" ht="15" hidden="false" customHeight="false" outlineLevel="0" collapsed="false">
      <c r="A11" s="4" t="s">
        <v>11</v>
      </c>
      <c r="B11" s="7" t="n">
        <v>250</v>
      </c>
      <c r="C11" s="2" t="s">
        <v>12</v>
      </c>
    </row>
    <row r="12" customFormat="false" ht="15" hidden="false" customHeight="false" outlineLevel="0" collapsed="false">
      <c r="A12" s="4" t="s">
        <v>13</v>
      </c>
      <c r="B12" s="8" t="n">
        <f aca="false">MAX(B7-B10,0)</f>
        <v>26</v>
      </c>
      <c r="C12" s="2" t="s">
        <v>14</v>
      </c>
    </row>
    <row r="13" customFormat="false" ht="15" hidden="false" customHeight="false" outlineLevel="0" collapsed="false">
      <c r="A13" s="4" t="s">
        <v>15</v>
      </c>
      <c r="B13" s="9" t="n">
        <v>0.4</v>
      </c>
      <c r="C13" s="2" t="s">
        <v>16</v>
      </c>
    </row>
    <row r="14" customFormat="false" ht="15" hidden="false" customHeight="false" outlineLevel="0" collapsed="false">
      <c r="A14" s="4" t="s">
        <v>17</v>
      </c>
      <c r="B14" s="7" t="n">
        <v>25</v>
      </c>
      <c r="C14" s="2" t="s">
        <v>18</v>
      </c>
    </row>
    <row r="15" customFormat="false" ht="15" hidden="false" customHeight="false" outlineLevel="0" collapsed="false">
      <c r="A15" s="4" t="s">
        <v>19</v>
      </c>
      <c r="B15" s="7" t="n">
        <v>500</v>
      </c>
      <c r="C15" s="2" t="s">
        <v>20</v>
      </c>
    </row>
    <row r="17" customFormat="false" ht="15" hidden="false" customHeight="false" outlineLevel="0" collapsed="false">
      <c r="A17" s="3" t="s">
        <v>21</v>
      </c>
    </row>
    <row r="18" customFormat="false" ht="15" hidden="false" customHeight="false" outlineLevel="0" collapsed="false">
      <c r="A18" s="4" t="s">
        <v>22</v>
      </c>
      <c r="B18" s="7" t="n">
        <v>4500</v>
      </c>
      <c r="C18" s="2" t="s">
        <v>23</v>
      </c>
    </row>
    <row r="19" customFormat="false" ht="15" hidden="false" customHeight="false" outlineLevel="0" collapsed="false">
      <c r="A19" s="4" t="s">
        <v>24</v>
      </c>
      <c r="B19" s="7" t="n">
        <v>400</v>
      </c>
      <c r="C19" s="2" t="s">
        <v>25</v>
      </c>
    </row>
    <row r="20" customFormat="false" ht="15" hidden="false" customHeight="false" outlineLevel="0" collapsed="false">
      <c r="A20" s="4" t="s">
        <v>26</v>
      </c>
      <c r="B20" s="7" t="n">
        <v>300</v>
      </c>
    </row>
    <row r="21" customFormat="false" ht="15" hidden="false" customHeight="false" outlineLevel="0" collapsed="false">
      <c r="A21" s="4" t="s">
        <v>27</v>
      </c>
      <c r="B21" s="7" t="n">
        <v>3000</v>
      </c>
      <c r="C21" s="2" t="s">
        <v>28</v>
      </c>
    </row>
    <row r="22" customFormat="false" ht="15" hidden="false" customHeight="false" outlineLevel="0" collapsed="false">
      <c r="A22" s="4" t="s">
        <v>29</v>
      </c>
      <c r="B22" s="7" t="n">
        <v>50</v>
      </c>
      <c r="C22" s="2" t="s">
        <v>30</v>
      </c>
    </row>
    <row r="23" customFormat="false" ht="15" hidden="false" customHeight="false" outlineLevel="0" collapsed="false">
      <c r="A23" s="4" t="s">
        <v>31</v>
      </c>
      <c r="B23" s="7" t="n">
        <v>200</v>
      </c>
    </row>
    <row r="24" customFormat="false" ht="15" hidden="false" customHeight="false" outlineLevel="0" collapsed="false">
      <c r="A24" s="4" t="s">
        <v>32</v>
      </c>
      <c r="B24" s="9" t="n">
        <v>0.05</v>
      </c>
      <c r="C24" s="2" t="s">
        <v>33</v>
      </c>
    </row>
    <row r="26" customFormat="false" ht="15" hidden="false" customHeight="false" outlineLevel="0" collapsed="false">
      <c r="A26" s="3" t="s">
        <v>34</v>
      </c>
    </row>
    <row r="27" customFormat="false" ht="15" hidden="false" customHeight="false" outlineLevel="0" collapsed="false">
      <c r="A27" s="4" t="s">
        <v>35</v>
      </c>
      <c r="B27" s="7" t="n">
        <v>60000</v>
      </c>
      <c r="C27" s="2" t="s">
        <v>36</v>
      </c>
    </row>
    <row r="29" customFormat="false" ht="15" hidden="false" customHeight="false" outlineLevel="0" collapsed="false">
      <c r="A29" s="3" t="s">
        <v>37</v>
      </c>
    </row>
    <row r="30" customFormat="false" ht="15" hidden="false" customHeight="false" outlineLevel="0" collapsed="false">
      <c r="A30" s="4" t="s">
        <v>38</v>
      </c>
      <c r="B30" s="10" t="n">
        <f aca="false">B10*B11</f>
        <v>13750</v>
      </c>
    </row>
    <row r="31" customFormat="false" ht="15" hidden="false" customHeight="false" outlineLevel="0" collapsed="false">
      <c r="A31" s="4" t="s">
        <v>39</v>
      </c>
      <c r="B31" s="10" t="n">
        <f aca="false">B12*B13*B14*30.4</f>
        <v>7904</v>
      </c>
      <c r="C31" s="2" t="s">
        <v>40</v>
      </c>
    </row>
    <row r="32" customFormat="false" ht="15" hidden="false" customHeight="false" outlineLevel="0" collapsed="false">
      <c r="A32" s="3" t="s">
        <v>41</v>
      </c>
      <c r="B32" s="11" t="n">
        <f aca="false">B30+B31+B15</f>
        <v>22154</v>
      </c>
    </row>
    <row r="33" customFormat="false" ht="15" hidden="false" customHeight="false" outlineLevel="0" collapsed="false">
      <c r="A33" s="4" t="s">
        <v>42</v>
      </c>
      <c r="B33" s="10" t="n">
        <f aca="false">-B32*B24</f>
        <v>-1107.7</v>
      </c>
    </row>
    <row r="34" customFormat="false" ht="15" hidden="false" customHeight="false" outlineLevel="0" collapsed="false">
      <c r="A34" s="4" t="s">
        <v>43</v>
      </c>
      <c r="B34" s="10" t="n">
        <f aca="false">-(B18+B19+B20+B21+B22+B23)</f>
        <v>-8450</v>
      </c>
    </row>
    <row r="35" customFormat="false" ht="15" hidden="false" customHeight="false" outlineLevel="0" collapsed="false">
      <c r="A35" s="3" t="s">
        <v>44</v>
      </c>
      <c r="B35" s="11" t="n">
        <f aca="false">B32+B33+B34</f>
        <v>12596.3</v>
      </c>
    </row>
    <row r="36" customFormat="false" ht="15" hidden="false" customHeight="false" outlineLevel="0" collapsed="false">
      <c r="A36" s="4" t="s">
        <v>45</v>
      </c>
      <c r="B36" s="10" t="n">
        <f aca="false">B35*12</f>
        <v>151155.6</v>
      </c>
    </row>
    <row r="37" customFormat="false" ht="15" hidden="false" customHeight="false" outlineLevel="0" collapsed="false">
      <c r="A37" s="4" t="s">
        <v>46</v>
      </c>
      <c r="B37" s="12" t="n">
        <f aca="false">IF(B32=0,0,-(B33+B34)/B32)</f>
        <v>0.431420962354428</v>
      </c>
      <c r="C37" s="2" t="s">
        <v>47</v>
      </c>
    </row>
    <row r="38" customFormat="false" ht="15" hidden="false" customHeight="false" outlineLevel="0" collapsed="false">
      <c r="A38" s="3" t="s">
        <v>48</v>
      </c>
      <c r="B38" s="6" t="n">
        <f aca="false">IFERROR(MATCH(1,Ramp24!K4:K27,0),"&gt;24")</f>
        <v>5</v>
      </c>
      <c r="C38" s="2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11" min="2" style="0" width="13"/>
  </cols>
  <sheetData>
    <row r="1" customFormat="false" ht="15" hidden="false" customHeight="false" outlineLevel="0" collapsed="false">
      <c r="A1" s="1" t="s">
        <v>50</v>
      </c>
    </row>
    <row r="2" customFormat="false" ht="15" hidden="false" customHeight="false" outlineLevel="0" collapsed="false">
      <c r="A2" s="2" t="s">
        <v>51</v>
      </c>
    </row>
    <row r="3" customFormat="false" ht="15" hidden="false" customHeight="false" outlineLevel="0" collapsed="false">
      <c r="A3" s="13" t="s">
        <v>52</v>
      </c>
      <c r="B3" s="13" t="s">
        <v>53</v>
      </c>
      <c r="C3" s="13" t="s">
        <v>54</v>
      </c>
      <c r="D3" s="13" t="s">
        <v>55</v>
      </c>
      <c r="E3" s="13" t="s">
        <v>56</v>
      </c>
      <c r="F3" s="13" t="s">
        <v>57</v>
      </c>
      <c r="G3" s="13" t="s">
        <v>58</v>
      </c>
      <c r="H3" s="13" t="s">
        <v>59</v>
      </c>
      <c r="I3" s="13" t="s">
        <v>60</v>
      </c>
      <c r="J3" s="13" t="s">
        <v>61</v>
      </c>
      <c r="K3" s="13" t="s">
        <v>62</v>
      </c>
      <c r="M3" s="4" t="s">
        <v>63</v>
      </c>
      <c r="N3" s="5" t="n">
        <v>10</v>
      </c>
    </row>
    <row r="4" customFormat="false" ht="15" hidden="false" customHeight="false" outlineLevel="0" collapsed="false">
      <c r="A4" s="4" t="n">
        <v>1</v>
      </c>
      <c r="B4" s="14" t="n">
        <f aca="false">MIN(Inputs!$B$10,$N$3+(A4-1)*$N$4)</f>
        <v>10</v>
      </c>
      <c r="C4" s="15" t="n">
        <f aca="false">B4*Inputs!$B$11</f>
        <v>2500</v>
      </c>
      <c r="D4" s="15" t="n">
        <f aca="false">MAX(Inputs!$B$7-B4,0)*Inputs!$B$13*Inputs!$B$14*30.4</f>
        <v>21584</v>
      </c>
      <c r="E4" s="15" t="n">
        <f aca="false">Inputs!$B$15</f>
        <v>500</v>
      </c>
      <c r="F4" s="15" t="n">
        <f aca="false">C4+D4+E4</f>
        <v>24584</v>
      </c>
      <c r="G4" s="15" t="n">
        <f aca="false">-F4*Inputs!$B$24</f>
        <v>-1229.2</v>
      </c>
      <c r="H4" s="15" t="n">
        <f aca="false">-(Inputs!$B$18+Inputs!$B$19+Inputs!$B$20+Inputs!$B$21+Inputs!$B$22+Inputs!$B$23)</f>
        <v>-8450</v>
      </c>
      <c r="I4" s="15" t="n">
        <f aca="false">F4+G4+H4</f>
        <v>14904.8</v>
      </c>
      <c r="J4" s="15" t="n">
        <f aca="false">-Inputs!$B$27+I4</f>
        <v>-45095.2</v>
      </c>
      <c r="K4" s="14" t="n">
        <f aca="false">IF(J4&gt;=0,1,0)</f>
        <v>0</v>
      </c>
      <c r="M4" s="4" t="s">
        <v>64</v>
      </c>
      <c r="N4" s="5" t="n">
        <v>5</v>
      </c>
    </row>
    <row r="5" customFormat="false" ht="15" hidden="false" customHeight="false" outlineLevel="0" collapsed="false">
      <c r="A5" s="4" t="n">
        <v>2</v>
      </c>
      <c r="B5" s="14" t="n">
        <f aca="false">MIN(Inputs!$B$10,$N$3+(A5-1)*$N$4)</f>
        <v>15</v>
      </c>
      <c r="C5" s="15" t="n">
        <f aca="false">B5*Inputs!$B$11</f>
        <v>3750</v>
      </c>
      <c r="D5" s="15" t="n">
        <f aca="false">MAX(Inputs!$B$7-B5,0)*Inputs!$B$13*Inputs!$B$14*30.4</f>
        <v>20064</v>
      </c>
      <c r="E5" s="15" t="n">
        <f aca="false">Inputs!$B$15</f>
        <v>500</v>
      </c>
      <c r="F5" s="15" t="n">
        <f aca="false">C5+D5+E5</f>
        <v>24314</v>
      </c>
      <c r="G5" s="15" t="n">
        <f aca="false">-F5*Inputs!$B$24</f>
        <v>-1215.7</v>
      </c>
      <c r="H5" s="15" t="n">
        <f aca="false">-(Inputs!$B$18+Inputs!$B$19+Inputs!$B$20+Inputs!$B$21+Inputs!$B$22+Inputs!$B$23)</f>
        <v>-8450</v>
      </c>
      <c r="I5" s="15" t="n">
        <f aca="false">F5+G5+H5</f>
        <v>14648.3</v>
      </c>
      <c r="J5" s="15" t="n">
        <f aca="false">J4+I5</f>
        <v>-30446.9</v>
      </c>
      <c r="K5" s="14" t="n">
        <f aca="false">IF(J5&gt;=0,1,0)</f>
        <v>0</v>
      </c>
    </row>
    <row r="6" customFormat="false" ht="15" hidden="false" customHeight="false" outlineLevel="0" collapsed="false">
      <c r="A6" s="4" t="n">
        <v>3</v>
      </c>
      <c r="B6" s="14" t="n">
        <f aca="false">MIN(Inputs!$B$10,$N$3+(A6-1)*$N$4)</f>
        <v>20</v>
      </c>
      <c r="C6" s="15" t="n">
        <f aca="false">B6*Inputs!$B$11</f>
        <v>5000</v>
      </c>
      <c r="D6" s="15" t="n">
        <f aca="false">MAX(Inputs!$B$7-B6,0)*Inputs!$B$13*Inputs!$B$14*30.4</f>
        <v>18544</v>
      </c>
      <c r="E6" s="15" t="n">
        <f aca="false">Inputs!$B$15</f>
        <v>500</v>
      </c>
      <c r="F6" s="15" t="n">
        <f aca="false">C6+D6+E6</f>
        <v>24044</v>
      </c>
      <c r="G6" s="15" t="n">
        <f aca="false">-F6*Inputs!$B$24</f>
        <v>-1202.2</v>
      </c>
      <c r="H6" s="15" t="n">
        <f aca="false">-(Inputs!$B$18+Inputs!$B$19+Inputs!$B$20+Inputs!$B$21+Inputs!$B$22+Inputs!$B$23)</f>
        <v>-8450</v>
      </c>
      <c r="I6" s="15" t="n">
        <f aca="false">F6+G6+H6</f>
        <v>14391.8</v>
      </c>
      <c r="J6" s="15" t="n">
        <f aca="false">J5+I6</f>
        <v>-16055.1</v>
      </c>
      <c r="K6" s="14" t="n">
        <f aca="false">IF(J6&gt;=0,1,0)</f>
        <v>0</v>
      </c>
    </row>
    <row r="7" customFormat="false" ht="15" hidden="false" customHeight="false" outlineLevel="0" collapsed="false">
      <c r="A7" s="4" t="n">
        <v>4</v>
      </c>
      <c r="B7" s="14" t="n">
        <f aca="false">MIN(Inputs!$B$10,$N$3+(A7-1)*$N$4)</f>
        <v>25</v>
      </c>
      <c r="C7" s="15" t="n">
        <f aca="false">B7*Inputs!$B$11</f>
        <v>6250</v>
      </c>
      <c r="D7" s="15" t="n">
        <f aca="false">MAX(Inputs!$B$7-B7,0)*Inputs!$B$13*Inputs!$B$14*30.4</f>
        <v>17024</v>
      </c>
      <c r="E7" s="15" t="n">
        <f aca="false">Inputs!$B$15</f>
        <v>500</v>
      </c>
      <c r="F7" s="15" t="n">
        <f aca="false">C7+D7+E7</f>
        <v>23774</v>
      </c>
      <c r="G7" s="15" t="n">
        <f aca="false">-F7*Inputs!$B$24</f>
        <v>-1188.7</v>
      </c>
      <c r="H7" s="15" t="n">
        <f aca="false">-(Inputs!$B$18+Inputs!$B$19+Inputs!$B$20+Inputs!$B$21+Inputs!$B$22+Inputs!$B$23)</f>
        <v>-8450</v>
      </c>
      <c r="I7" s="15" t="n">
        <f aca="false">F7+G7+H7</f>
        <v>14135.3</v>
      </c>
      <c r="J7" s="15" t="n">
        <f aca="false">J6+I7</f>
        <v>-1919.8</v>
      </c>
      <c r="K7" s="14" t="n">
        <f aca="false">IF(J7&gt;=0,1,0)</f>
        <v>0</v>
      </c>
    </row>
    <row r="8" customFormat="false" ht="15" hidden="false" customHeight="false" outlineLevel="0" collapsed="false">
      <c r="A8" s="4" t="n">
        <v>5</v>
      </c>
      <c r="B8" s="14" t="n">
        <f aca="false">MIN(Inputs!$B$10,$N$3+(A8-1)*$N$4)</f>
        <v>30</v>
      </c>
      <c r="C8" s="15" t="n">
        <f aca="false">B8*Inputs!$B$11</f>
        <v>7500</v>
      </c>
      <c r="D8" s="15" t="n">
        <f aca="false">MAX(Inputs!$B$7-B8,0)*Inputs!$B$13*Inputs!$B$14*30.4</f>
        <v>15504</v>
      </c>
      <c r="E8" s="15" t="n">
        <f aca="false">Inputs!$B$15</f>
        <v>500</v>
      </c>
      <c r="F8" s="15" t="n">
        <f aca="false">C8+D8+E8</f>
        <v>23504</v>
      </c>
      <c r="G8" s="15" t="n">
        <f aca="false">-F8*Inputs!$B$24</f>
        <v>-1175.2</v>
      </c>
      <c r="H8" s="15" t="n">
        <f aca="false">-(Inputs!$B$18+Inputs!$B$19+Inputs!$B$20+Inputs!$B$21+Inputs!$B$22+Inputs!$B$23)</f>
        <v>-8450</v>
      </c>
      <c r="I8" s="15" t="n">
        <f aca="false">F8+G8+H8</f>
        <v>13878.8</v>
      </c>
      <c r="J8" s="15" t="n">
        <f aca="false">J7+I8</f>
        <v>11959</v>
      </c>
      <c r="K8" s="14" t="n">
        <f aca="false">IF(J8&gt;=0,1,0)</f>
        <v>1</v>
      </c>
    </row>
    <row r="9" customFormat="false" ht="15" hidden="false" customHeight="false" outlineLevel="0" collapsed="false">
      <c r="A9" s="4" t="n">
        <v>6</v>
      </c>
      <c r="B9" s="14" t="n">
        <f aca="false">MIN(Inputs!$B$10,$N$3+(A9-1)*$N$4)</f>
        <v>35</v>
      </c>
      <c r="C9" s="15" t="n">
        <f aca="false">B9*Inputs!$B$11</f>
        <v>8750</v>
      </c>
      <c r="D9" s="15" t="n">
        <f aca="false">MAX(Inputs!$B$7-B9,0)*Inputs!$B$13*Inputs!$B$14*30.4</f>
        <v>13984</v>
      </c>
      <c r="E9" s="15" t="n">
        <f aca="false">Inputs!$B$15</f>
        <v>500</v>
      </c>
      <c r="F9" s="15" t="n">
        <f aca="false">C9+D9+E9</f>
        <v>23234</v>
      </c>
      <c r="G9" s="15" t="n">
        <f aca="false">-F9*Inputs!$B$24</f>
        <v>-1161.7</v>
      </c>
      <c r="H9" s="15" t="n">
        <f aca="false">-(Inputs!$B$18+Inputs!$B$19+Inputs!$B$20+Inputs!$B$21+Inputs!$B$22+Inputs!$B$23)</f>
        <v>-8450</v>
      </c>
      <c r="I9" s="15" t="n">
        <f aca="false">F9+G9+H9</f>
        <v>13622.3</v>
      </c>
      <c r="J9" s="15" t="n">
        <f aca="false">J8+I9</f>
        <v>25581.3</v>
      </c>
      <c r="K9" s="14" t="n">
        <f aca="false">IF(J9&gt;=0,1,0)</f>
        <v>1</v>
      </c>
    </row>
    <row r="10" customFormat="false" ht="15" hidden="false" customHeight="false" outlineLevel="0" collapsed="false">
      <c r="A10" s="4" t="n">
        <v>7</v>
      </c>
      <c r="B10" s="14" t="n">
        <f aca="false">MIN(Inputs!$B$10,$N$3+(A10-1)*$N$4)</f>
        <v>40</v>
      </c>
      <c r="C10" s="15" t="n">
        <f aca="false">B10*Inputs!$B$11</f>
        <v>10000</v>
      </c>
      <c r="D10" s="15" t="n">
        <f aca="false">MAX(Inputs!$B$7-B10,0)*Inputs!$B$13*Inputs!$B$14*30.4</f>
        <v>12464</v>
      </c>
      <c r="E10" s="15" t="n">
        <f aca="false">Inputs!$B$15</f>
        <v>500</v>
      </c>
      <c r="F10" s="15" t="n">
        <f aca="false">C10+D10+E10</f>
        <v>22964</v>
      </c>
      <c r="G10" s="15" t="n">
        <f aca="false">-F10*Inputs!$B$24</f>
        <v>-1148.2</v>
      </c>
      <c r="H10" s="15" t="n">
        <f aca="false">-(Inputs!$B$18+Inputs!$B$19+Inputs!$B$20+Inputs!$B$21+Inputs!$B$22+Inputs!$B$23)</f>
        <v>-8450</v>
      </c>
      <c r="I10" s="15" t="n">
        <f aca="false">F10+G10+H10</f>
        <v>13365.8</v>
      </c>
      <c r="J10" s="15" t="n">
        <f aca="false">J9+I10</f>
        <v>38947.1</v>
      </c>
      <c r="K10" s="14" t="n">
        <f aca="false">IF(J10&gt;=0,1,0)</f>
        <v>1</v>
      </c>
    </row>
    <row r="11" customFormat="false" ht="15" hidden="false" customHeight="false" outlineLevel="0" collapsed="false">
      <c r="A11" s="4" t="n">
        <v>8</v>
      </c>
      <c r="B11" s="14" t="n">
        <f aca="false">MIN(Inputs!$B$10,$N$3+(A11-1)*$N$4)</f>
        <v>45</v>
      </c>
      <c r="C11" s="15" t="n">
        <f aca="false">B11*Inputs!$B$11</f>
        <v>11250</v>
      </c>
      <c r="D11" s="15" t="n">
        <f aca="false">MAX(Inputs!$B$7-B11,0)*Inputs!$B$13*Inputs!$B$14*30.4</f>
        <v>10944</v>
      </c>
      <c r="E11" s="15" t="n">
        <f aca="false">Inputs!$B$15</f>
        <v>500</v>
      </c>
      <c r="F11" s="15" t="n">
        <f aca="false">C11+D11+E11</f>
        <v>22694</v>
      </c>
      <c r="G11" s="15" t="n">
        <f aca="false">-F11*Inputs!$B$24</f>
        <v>-1134.7</v>
      </c>
      <c r="H11" s="15" t="n">
        <f aca="false">-(Inputs!$B$18+Inputs!$B$19+Inputs!$B$20+Inputs!$B$21+Inputs!$B$22+Inputs!$B$23)</f>
        <v>-8450</v>
      </c>
      <c r="I11" s="15" t="n">
        <f aca="false">F11+G11+H11</f>
        <v>13109.3</v>
      </c>
      <c r="J11" s="15" t="n">
        <f aca="false">J10+I11</f>
        <v>52056.4</v>
      </c>
      <c r="K11" s="14" t="n">
        <f aca="false">IF(J11&gt;=0,1,0)</f>
        <v>1</v>
      </c>
    </row>
    <row r="12" customFormat="false" ht="15" hidden="false" customHeight="false" outlineLevel="0" collapsed="false">
      <c r="A12" s="4" t="n">
        <v>9</v>
      </c>
      <c r="B12" s="14" t="n">
        <f aca="false">MIN(Inputs!$B$10,$N$3+(A12-1)*$N$4)</f>
        <v>50</v>
      </c>
      <c r="C12" s="15" t="n">
        <f aca="false">B12*Inputs!$B$11</f>
        <v>12500</v>
      </c>
      <c r="D12" s="15" t="n">
        <f aca="false">MAX(Inputs!$B$7-B12,0)*Inputs!$B$13*Inputs!$B$14*30.4</f>
        <v>9424</v>
      </c>
      <c r="E12" s="15" t="n">
        <f aca="false">Inputs!$B$15</f>
        <v>500</v>
      </c>
      <c r="F12" s="15" t="n">
        <f aca="false">C12+D12+E12</f>
        <v>22424</v>
      </c>
      <c r="G12" s="15" t="n">
        <f aca="false">-F12*Inputs!$B$24</f>
        <v>-1121.2</v>
      </c>
      <c r="H12" s="15" t="n">
        <f aca="false">-(Inputs!$B$18+Inputs!$B$19+Inputs!$B$20+Inputs!$B$21+Inputs!$B$22+Inputs!$B$23)</f>
        <v>-8450</v>
      </c>
      <c r="I12" s="15" t="n">
        <f aca="false">F12+G12+H12</f>
        <v>12852.8</v>
      </c>
      <c r="J12" s="15" t="n">
        <f aca="false">J11+I12</f>
        <v>64909.2</v>
      </c>
      <c r="K12" s="14" t="n">
        <f aca="false">IF(J12&gt;=0,1,0)</f>
        <v>1</v>
      </c>
    </row>
    <row r="13" customFormat="false" ht="15" hidden="false" customHeight="false" outlineLevel="0" collapsed="false">
      <c r="A13" s="4" t="n">
        <v>10</v>
      </c>
      <c r="B13" s="14" t="n">
        <f aca="false">MIN(Inputs!$B$10,$N$3+(A13-1)*$N$4)</f>
        <v>55</v>
      </c>
      <c r="C13" s="15" t="n">
        <f aca="false">B13*Inputs!$B$11</f>
        <v>13750</v>
      </c>
      <c r="D13" s="15" t="n">
        <f aca="false">MAX(Inputs!$B$7-B13,0)*Inputs!$B$13*Inputs!$B$14*30.4</f>
        <v>7904</v>
      </c>
      <c r="E13" s="15" t="n">
        <f aca="false">Inputs!$B$15</f>
        <v>500</v>
      </c>
      <c r="F13" s="15" t="n">
        <f aca="false">C13+D13+E13</f>
        <v>22154</v>
      </c>
      <c r="G13" s="15" t="n">
        <f aca="false">-F13*Inputs!$B$24</f>
        <v>-1107.7</v>
      </c>
      <c r="H13" s="15" t="n">
        <f aca="false">-(Inputs!$B$18+Inputs!$B$19+Inputs!$B$20+Inputs!$B$21+Inputs!$B$22+Inputs!$B$23)</f>
        <v>-8450</v>
      </c>
      <c r="I13" s="15" t="n">
        <f aca="false">F13+G13+H13</f>
        <v>12596.3</v>
      </c>
      <c r="J13" s="15" t="n">
        <f aca="false">J12+I13</f>
        <v>77505.5</v>
      </c>
      <c r="K13" s="14" t="n">
        <f aca="false">IF(J13&gt;=0,1,0)</f>
        <v>1</v>
      </c>
    </row>
    <row r="14" customFormat="false" ht="15" hidden="false" customHeight="false" outlineLevel="0" collapsed="false">
      <c r="A14" s="4" t="n">
        <v>11</v>
      </c>
      <c r="B14" s="14" t="n">
        <f aca="false">MIN(Inputs!$B$10,$N$3+(A14-1)*$N$4)</f>
        <v>55</v>
      </c>
      <c r="C14" s="15" t="n">
        <f aca="false">B14*Inputs!$B$11</f>
        <v>13750</v>
      </c>
      <c r="D14" s="15" t="n">
        <f aca="false">MAX(Inputs!$B$7-B14,0)*Inputs!$B$13*Inputs!$B$14*30.4</f>
        <v>7904</v>
      </c>
      <c r="E14" s="15" t="n">
        <f aca="false">Inputs!$B$15</f>
        <v>500</v>
      </c>
      <c r="F14" s="15" t="n">
        <f aca="false">C14+D14+E14</f>
        <v>22154</v>
      </c>
      <c r="G14" s="15" t="n">
        <f aca="false">-F14*Inputs!$B$24</f>
        <v>-1107.7</v>
      </c>
      <c r="H14" s="15" t="n">
        <f aca="false">-(Inputs!$B$18+Inputs!$B$19+Inputs!$B$20+Inputs!$B$21+Inputs!$B$22+Inputs!$B$23)</f>
        <v>-8450</v>
      </c>
      <c r="I14" s="15" t="n">
        <f aca="false">F14+G14+H14</f>
        <v>12596.3</v>
      </c>
      <c r="J14" s="15" t="n">
        <f aca="false">J13+I14</f>
        <v>90101.8</v>
      </c>
      <c r="K14" s="14" t="n">
        <f aca="false">IF(J14&gt;=0,1,0)</f>
        <v>1</v>
      </c>
    </row>
    <row r="15" customFormat="false" ht="15" hidden="false" customHeight="false" outlineLevel="0" collapsed="false">
      <c r="A15" s="4" t="n">
        <v>12</v>
      </c>
      <c r="B15" s="14" t="n">
        <f aca="false">MIN(Inputs!$B$10,$N$3+(A15-1)*$N$4)</f>
        <v>55</v>
      </c>
      <c r="C15" s="15" t="n">
        <f aca="false">B15*Inputs!$B$11</f>
        <v>13750</v>
      </c>
      <c r="D15" s="15" t="n">
        <f aca="false">MAX(Inputs!$B$7-B15,0)*Inputs!$B$13*Inputs!$B$14*30.4</f>
        <v>7904</v>
      </c>
      <c r="E15" s="15" t="n">
        <f aca="false">Inputs!$B$15</f>
        <v>500</v>
      </c>
      <c r="F15" s="15" t="n">
        <f aca="false">C15+D15+E15</f>
        <v>22154</v>
      </c>
      <c r="G15" s="15" t="n">
        <f aca="false">-F15*Inputs!$B$24</f>
        <v>-1107.7</v>
      </c>
      <c r="H15" s="15" t="n">
        <f aca="false">-(Inputs!$B$18+Inputs!$B$19+Inputs!$B$20+Inputs!$B$21+Inputs!$B$22+Inputs!$B$23)</f>
        <v>-8450</v>
      </c>
      <c r="I15" s="15" t="n">
        <f aca="false">F15+G15+H15</f>
        <v>12596.3</v>
      </c>
      <c r="J15" s="15" t="n">
        <f aca="false">J14+I15</f>
        <v>102698.1</v>
      </c>
      <c r="K15" s="14" t="n">
        <f aca="false">IF(J15&gt;=0,1,0)</f>
        <v>1</v>
      </c>
    </row>
    <row r="16" customFormat="false" ht="15" hidden="false" customHeight="false" outlineLevel="0" collapsed="false">
      <c r="A16" s="4" t="n">
        <v>13</v>
      </c>
      <c r="B16" s="14" t="n">
        <f aca="false">MIN(Inputs!$B$10,$N$3+(A16-1)*$N$4)</f>
        <v>55</v>
      </c>
      <c r="C16" s="15" t="n">
        <f aca="false">B16*Inputs!$B$11</f>
        <v>13750</v>
      </c>
      <c r="D16" s="15" t="n">
        <f aca="false">MAX(Inputs!$B$7-B16,0)*Inputs!$B$13*Inputs!$B$14*30.4</f>
        <v>7904</v>
      </c>
      <c r="E16" s="15" t="n">
        <f aca="false">Inputs!$B$15</f>
        <v>500</v>
      </c>
      <c r="F16" s="15" t="n">
        <f aca="false">C16+D16+E16</f>
        <v>22154</v>
      </c>
      <c r="G16" s="15" t="n">
        <f aca="false">-F16*Inputs!$B$24</f>
        <v>-1107.7</v>
      </c>
      <c r="H16" s="15" t="n">
        <f aca="false">-(Inputs!$B$18+Inputs!$B$19+Inputs!$B$20+Inputs!$B$21+Inputs!$B$22+Inputs!$B$23)</f>
        <v>-8450</v>
      </c>
      <c r="I16" s="15" t="n">
        <f aca="false">F16+G16+H16</f>
        <v>12596.3</v>
      </c>
      <c r="J16" s="15" t="n">
        <f aca="false">J15+I16</f>
        <v>115294.4</v>
      </c>
      <c r="K16" s="14" t="n">
        <f aca="false">IF(J16&gt;=0,1,0)</f>
        <v>1</v>
      </c>
    </row>
    <row r="17" customFormat="false" ht="15" hidden="false" customHeight="false" outlineLevel="0" collapsed="false">
      <c r="A17" s="4" t="n">
        <v>14</v>
      </c>
      <c r="B17" s="14" t="n">
        <f aca="false">MIN(Inputs!$B$10,$N$3+(A17-1)*$N$4)</f>
        <v>55</v>
      </c>
      <c r="C17" s="15" t="n">
        <f aca="false">B17*Inputs!$B$11</f>
        <v>13750</v>
      </c>
      <c r="D17" s="15" t="n">
        <f aca="false">MAX(Inputs!$B$7-B17,0)*Inputs!$B$13*Inputs!$B$14*30.4</f>
        <v>7904</v>
      </c>
      <c r="E17" s="15" t="n">
        <f aca="false">Inputs!$B$15</f>
        <v>500</v>
      </c>
      <c r="F17" s="15" t="n">
        <f aca="false">C17+D17+E17</f>
        <v>22154</v>
      </c>
      <c r="G17" s="15" t="n">
        <f aca="false">-F17*Inputs!$B$24</f>
        <v>-1107.7</v>
      </c>
      <c r="H17" s="15" t="n">
        <f aca="false">-(Inputs!$B$18+Inputs!$B$19+Inputs!$B$20+Inputs!$B$21+Inputs!$B$22+Inputs!$B$23)</f>
        <v>-8450</v>
      </c>
      <c r="I17" s="15" t="n">
        <f aca="false">F17+G17+H17</f>
        <v>12596.3</v>
      </c>
      <c r="J17" s="15" t="n">
        <f aca="false">J16+I17</f>
        <v>127890.7</v>
      </c>
      <c r="K17" s="14" t="n">
        <f aca="false">IF(J17&gt;=0,1,0)</f>
        <v>1</v>
      </c>
    </row>
    <row r="18" customFormat="false" ht="15" hidden="false" customHeight="false" outlineLevel="0" collapsed="false">
      <c r="A18" s="4" t="n">
        <v>15</v>
      </c>
      <c r="B18" s="14" t="n">
        <f aca="false">MIN(Inputs!$B$10,$N$3+(A18-1)*$N$4)</f>
        <v>55</v>
      </c>
      <c r="C18" s="15" t="n">
        <f aca="false">B18*Inputs!$B$11</f>
        <v>13750</v>
      </c>
      <c r="D18" s="15" t="n">
        <f aca="false">MAX(Inputs!$B$7-B18,0)*Inputs!$B$13*Inputs!$B$14*30.4</f>
        <v>7904</v>
      </c>
      <c r="E18" s="15" t="n">
        <f aca="false">Inputs!$B$15</f>
        <v>500</v>
      </c>
      <c r="F18" s="15" t="n">
        <f aca="false">C18+D18+E18</f>
        <v>22154</v>
      </c>
      <c r="G18" s="15" t="n">
        <f aca="false">-F18*Inputs!$B$24</f>
        <v>-1107.7</v>
      </c>
      <c r="H18" s="15" t="n">
        <f aca="false">-(Inputs!$B$18+Inputs!$B$19+Inputs!$B$20+Inputs!$B$21+Inputs!$B$22+Inputs!$B$23)</f>
        <v>-8450</v>
      </c>
      <c r="I18" s="15" t="n">
        <f aca="false">F18+G18+H18</f>
        <v>12596.3</v>
      </c>
      <c r="J18" s="15" t="n">
        <f aca="false">J17+I18</f>
        <v>140487</v>
      </c>
      <c r="K18" s="14" t="n">
        <f aca="false">IF(J18&gt;=0,1,0)</f>
        <v>1</v>
      </c>
    </row>
    <row r="19" customFormat="false" ht="15" hidden="false" customHeight="false" outlineLevel="0" collapsed="false">
      <c r="A19" s="4" t="n">
        <v>16</v>
      </c>
      <c r="B19" s="14" t="n">
        <f aca="false">MIN(Inputs!$B$10,$N$3+(A19-1)*$N$4)</f>
        <v>55</v>
      </c>
      <c r="C19" s="15" t="n">
        <f aca="false">B19*Inputs!$B$11</f>
        <v>13750</v>
      </c>
      <c r="D19" s="15" t="n">
        <f aca="false">MAX(Inputs!$B$7-B19,0)*Inputs!$B$13*Inputs!$B$14*30.4</f>
        <v>7904</v>
      </c>
      <c r="E19" s="15" t="n">
        <f aca="false">Inputs!$B$15</f>
        <v>500</v>
      </c>
      <c r="F19" s="15" t="n">
        <f aca="false">C19+D19+E19</f>
        <v>22154</v>
      </c>
      <c r="G19" s="15" t="n">
        <f aca="false">-F19*Inputs!$B$24</f>
        <v>-1107.7</v>
      </c>
      <c r="H19" s="15" t="n">
        <f aca="false">-(Inputs!$B$18+Inputs!$B$19+Inputs!$B$20+Inputs!$B$21+Inputs!$B$22+Inputs!$B$23)</f>
        <v>-8450</v>
      </c>
      <c r="I19" s="15" t="n">
        <f aca="false">F19+G19+H19</f>
        <v>12596.3</v>
      </c>
      <c r="J19" s="15" t="n">
        <f aca="false">J18+I19</f>
        <v>153083.3</v>
      </c>
      <c r="K19" s="14" t="n">
        <f aca="false">IF(J19&gt;=0,1,0)</f>
        <v>1</v>
      </c>
    </row>
    <row r="20" customFormat="false" ht="15" hidden="false" customHeight="false" outlineLevel="0" collapsed="false">
      <c r="A20" s="4" t="n">
        <v>17</v>
      </c>
      <c r="B20" s="14" t="n">
        <f aca="false">MIN(Inputs!$B$10,$N$3+(A20-1)*$N$4)</f>
        <v>55</v>
      </c>
      <c r="C20" s="15" t="n">
        <f aca="false">B20*Inputs!$B$11</f>
        <v>13750</v>
      </c>
      <c r="D20" s="15" t="n">
        <f aca="false">MAX(Inputs!$B$7-B20,0)*Inputs!$B$13*Inputs!$B$14*30.4</f>
        <v>7904</v>
      </c>
      <c r="E20" s="15" t="n">
        <f aca="false">Inputs!$B$15</f>
        <v>500</v>
      </c>
      <c r="F20" s="15" t="n">
        <f aca="false">C20+D20+E20</f>
        <v>22154</v>
      </c>
      <c r="G20" s="15" t="n">
        <f aca="false">-F20*Inputs!$B$24</f>
        <v>-1107.7</v>
      </c>
      <c r="H20" s="15" t="n">
        <f aca="false">-(Inputs!$B$18+Inputs!$B$19+Inputs!$B$20+Inputs!$B$21+Inputs!$B$22+Inputs!$B$23)</f>
        <v>-8450</v>
      </c>
      <c r="I20" s="15" t="n">
        <f aca="false">F20+G20+H20</f>
        <v>12596.3</v>
      </c>
      <c r="J20" s="15" t="n">
        <f aca="false">J19+I20</f>
        <v>165679.6</v>
      </c>
      <c r="K20" s="14" t="n">
        <f aca="false">IF(J20&gt;=0,1,0)</f>
        <v>1</v>
      </c>
    </row>
    <row r="21" customFormat="false" ht="15" hidden="false" customHeight="false" outlineLevel="0" collapsed="false">
      <c r="A21" s="4" t="n">
        <v>18</v>
      </c>
      <c r="B21" s="14" t="n">
        <f aca="false">MIN(Inputs!$B$10,$N$3+(A21-1)*$N$4)</f>
        <v>55</v>
      </c>
      <c r="C21" s="15" t="n">
        <f aca="false">B21*Inputs!$B$11</f>
        <v>13750</v>
      </c>
      <c r="D21" s="15" t="n">
        <f aca="false">MAX(Inputs!$B$7-B21,0)*Inputs!$B$13*Inputs!$B$14*30.4</f>
        <v>7904</v>
      </c>
      <c r="E21" s="15" t="n">
        <f aca="false">Inputs!$B$15</f>
        <v>500</v>
      </c>
      <c r="F21" s="15" t="n">
        <f aca="false">C21+D21+E21</f>
        <v>22154</v>
      </c>
      <c r="G21" s="15" t="n">
        <f aca="false">-F21*Inputs!$B$24</f>
        <v>-1107.7</v>
      </c>
      <c r="H21" s="15" t="n">
        <f aca="false">-(Inputs!$B$18+Inputs!$B$19+Inputs!$B$20+Inputs!$B$21+Inputs!$B$22+Inputs!$B$23)</f>
        <v>-8450</v>
      </c>
      <c r="I21" s="15" t="n">
        <f aca="false">F21+G21+H21</f>
        <v>12596.3</v>
      </c>
      <c r="J21" s="15" t="n">
        <f aca="false">J20+I21</f>
        <v>178275.9</v>
      </c>
      <c r="K21" s="14" t="n">
        <f aca="false">IF(J21&gt;=0,1,0)</f>
        <v>1</v>
      </c>
    </row>
    <row r="22" customFormat="false" ht="15" hidden="false" customHeight="false" outlineLevel="0" collapsed="false">
      <c r="A22" s="4" t="n">
        <v>19</v>
      </c>
      <c r="B22" s="14" t="n">
        <f aca="false">MIN(Inputs!$B$10,$N$3+(A22-1)*$N$4)</f>
        <v>55</v>
      </c>
      <c r="C22" s="15" t="n">
        <f aca="false">B22*Inputs!$B$11</f>
        <v>13750</v>
      </c>
      <c r="D22" s="15" t="n">
        <f aca="false">MAX(Inputs!$B$7-B22,0)*Inputs!$B$13*Inputs!$B$14*30.4</f>
        <v>7904</v>
      </c>
      <c r="E22" s="15" t="n">
        <f aca="false">Inputs!$B$15</f>
        <v>500</v>
      </c>
      <c r="F22" s="15" t="n">
        <f aca="false">C22+D22+E22</f>
        <v>22154</v>
      </c>
      <c r="G22" s="15" t="n">
        <f aca="false">-F22*Inputs!$B$24</f>
        <v>-1107.7</v>
      </c>
      <c r="H22" s="15" t="n">
        <f aca="false">-(Inputs!$B$18+Inputs!$B$19+Inputs!$B$20+Inputs!$B$21+Inputs!$B$22+Inputs!$B$23)</f>
        <v>-8450</v>
      </c>
      <c r="I22" s="15" t="n">
        <f aca="false">F22+G22+H22</f>
        <v>12596.3</v>
      </c>
      <c r="J22" s="15" t="n">
        <f aca="false">J21+I22</f>
        <v>190872.2</v>
      </c>
      <c r="K22" s="14" t="n">
        <f aca="false">IF(J22&gt;=0,1,0)</f>
        <v>1</v>
      </c>
    </row>
    <row r="23" customFormat="false" ht="15" hidden="false" customHeight="false" outlineLevel="0" collapsed="false">
      <c r="A23" s="4" t="n">
        <v>20</v>
      </c>
      <c r="B23" s="14" t="n">
        <f aca="false">MIN(Inputs!$B$10,$N$3+(A23-1)*$N$4)</f>
        <v>55</v>
      </c>
      <c r="C23" s="15" t="n">
        <f aca="false">B23*Inputs!$B$11</f>
        <v>13750</v>
      </c>
      <c r="D23" s="15" t="n">
        <f aca="false">MAX(Inputs!$B$7-B23,0)*Inputs!$B$13*Inputs!$B$14*30.4</f>
        <v>7904</v>
      </c>
      <c r="E23" s="15" t="n">
        <f aca="false">Inputs!$B$15</f>
        <v>500</v>
      </c>
      <c r="F23" s="15" t="n">
        <f aca="false">C23+D23+E23</f>
        <v>22154</v>
      </c>
      <c r="G23" s="15" t="n">
        <f aca="false">-F23*Inputs!$B$24</f>
        <v>-1107.7</v>
      </c>
      <c r="H23" s="15" t="n">
        <f aca="false">-(Inputs!$B$18+Inputs!$B$19+Inputs!$B$20+Inputs!$B$21+Inputs!$B$22+Inputs!$B$23)</f>
        <v>-8450</v>
      </c>
      <c r="I23" s="15" t="n">
        <f aca="false">F23+G23+H23</f>
        <v>12596.3</v>
      </c>
      <c r="J23" s="15" t="n">
        <f aca="false">J22+I23</f>
        <v>203468.5</v>
      </c>
      <c r="K23" s="14" t="n">
        <f aca="false">IF(J23&gt;=0,1,0)</f>
        <v>1</v>
      </c>
    </row>
    <row r="24" customFormat="false" ht="15" hidden="false" customHeight="false" outlineLevel="0" collapsed="false">
      <c r="A24" s="4" t="n">
        <v>21</v>
      </c>
      <c r="B24" s="14" t="n">
        <f aca="false">MIN(Inputs!$B$10,$N$3+(A24-1)*$N$4)</f>
        <v>55</v>
      </c>
      <c r="C24" s="15" t="n">
        <f aca="false">B24*Inputs!$B$11</f>
        <v>13750</v>
      </c>
      <c r="D24" s="15" t="n">
        <f aca="false">MAX(Inputs!$B$7-B24,0)*Inputs!$B$13*Inputs!$B$14*30.4</f>
        <v>7904</v>
      </c>
      <c r="E24" s="15" t="n">
        <f aca="false">Inputs!$B$15</f>
        <v>500</v>
      </c>
      <c r="F24" s="15" t="n">
        <f aca="false">C24+D24+E24</f>
        <v>22154</v>
      </c>
      <c r="G24" s="15" t="n">
        <f aca="false">-F24*Inputs!$B$24</f>
        <v>-1107.7</v>
      </c>
      <c r="H24" s="15" t="n">
        <f aca="false">-(Inputs!$B$18+Inputs!$B$19+Inputs!$B$20+Inputs!$B$21+Inputs!$B$22+Inputs!$B$23)</f>
        <v>-8450</v>
      </c>
      <c r="I24" s="15" t="n">
        <f aca="false">F24+G24+H24</f>
        <v>12596.3</v>
      </c>
      <c r="J24" s="15" t="n">
        <f aca="false">J23+I24</f>
        <v>216064.8</v>
      </c>
      <c r="K24" s="14" t="n">
        <f aca="false">IF(J24&gt;=0,1,0)</f>
        <v>1</v>
      </c>
    </row>
    <row r="25" customFormat="false" ht="15" hidden="false" customHeight="false" outlineLevel="0" collapsed="false">
      <c r="A25" s="4" t="n">
        <v>22</v>
      </c>
      <c r="B25" s="14" t="n">
        <f aca="false">MIN(Inputs!$B$10,$N$3+(A25-1)*$N$4)</f>
        <v>55</v>
      </c>
      <c r="C25" s="15" t="n">
        <f aca="false">B25*Inputs!$B$11</f>
        <v>13750</v>
      </c>
      <c r="D25" s="15" t="n">
        <f aca="false">MAX(Inputs!$B$7-B25,0)*Inputs!$B$13*Inputs!$B$14*30.4</f>
        <v>7904</v>
      </c>
      <c r="E25" s="15" t="n">
        <f aca="false">Inputs!$B$15</f>
        <v>500</v>
      </c>
      <c r="F25" s="15" t="n">
        <f aca="false">C25+D25+E25</f>
        <v>22154</v>
      </c>
      <c r="G25" s="15" t="n">
        <f aca="false">-F25*Inputs!$B$24</f>
        <v>-1107.7</v>
      </c>
      <c r="H25" s="15" t="n">
        <f aca="false">-(Inputs!$B$18+Inputs!$B$19+Inputs!$B$20+Inputs!$B$21+Inputs!$B$22+Inputs!$B$23)</f>
        <v>-8450</v>
      </c>
      <c r="I25" s="15" t="n">
        <f aca="false">F25+G25+H25</f>
        <v>12596.3</v>
      </c>
      <c r="J25" s="15" t="n">
        <f aca="false">J24+I25</f>
        <v>228661.1</v>
      </c>
      <c r="K25" s="14" t="n">
        <f aca="false">IF(J25&gt;=0,1,0)</f>
        <v>1</v>
      </c>
    </row>
    <row r="26" customFormat="false" ht="15" hidden="false" customHeight="false" outlineLevel="0" collapsed="false">
      <c r="A26" s="4" t="n">
        <v>23</v>
      </c>
      <c r="B26" s="14" t="n">
        <f aca="false">MIN(Inputs!$B$10,$N$3+(A26-1)*$N$4)</f>
        <v>55</v>
      </c>
      <c r="C26" s="15" t="n">
        <f aca="false">B26*Inputs!$B$11</f>
        <v>13750</v>
      </c>
      <c r="D26" s="15" t="n">
        <f aca="false">MAX(Inputs!$B$7-B26,0)*Inputs!$B$13*Inputs!$B$14*30.4</f>
        <v>7904</v>
      </c>
      <c r="E26" s="15" t="n">
        <f aca="false">Inputs!$B$15</f>
        <v>500</v>
      </c>
      <c r="F26" s="15" t="n">
        <f aca="false">C26+D26+E26</f>
        <v>22154</v>
      </c>
      <c r="G26" s="15" t="n">
        <f aca="false">-F26*Inputs!$B$24</f>
        <v>-1107.7</v>
      </c>
      <c r="H26" s="15" t="n">
        <f aca="false">-(Inputs!$B$18+Inputs!$B$19+Inputs!$B$20+Inputs!$B$21+Inputs!$B$22+Inputs!$B$23)</f>
        <v>-8450</v>
      </c>
      <c r="I26" s="15" t="n">
        <f aca="false">F26+G26+H26</f>
        <v>12596.3</v>
      </c>
      <c r="J26" s="15" t="n">
        <f aca="false">J25+I26</f>
        <v>241257.4</v>
      </c>
      <c r="K26" s="14" t="n">
        <f aca="false">IF(J26&gt;=0,1,0)</f>
        <v>1</v>
      </c>
    </row>
    <row r="27" customFormat="false" ht="15" hidden="false" customHeight="false" outlineLevel="0" collapsed="false">
      <c r="A27" s="4" t="n">
        <v>24</v>
      </c>
      <c r="B27" s="14" t="n">
        <f aca="false">MIN(Inputs!$B$10,$N$3+(A27-1)*$N$4)</f>
        <v>55</v>
      </c>
      <c r="C27" s="15" t="n">
        <f aca="false">B27*Inputs!$B$11</f>
        <v>13750</v>
      </c>
      <c r="D27" s="15" t="n">
        <f aca="false">MAX(Inputs!$B$7-B27,0)*Inputs!$B$13*Inputs!$B$14*30.4</f>
        <v>7904</v>
      </c>
      <c r="E27" s="15" t="n">
        <f aca="false">Inputs!$B$15</f>
        <v>500</v>
      </c>
      <c r="F27" s="15" t="n">
        <f aca="false">C27+D27+E27</f>
        <v>22154</v>
      </c>
      <c r="G27" s="15" t="n">
        <f aca="false">-F27*Inputs!$B$24</f>
        <v>-1107.7</v>
      </c>
      <c r="H27" s="15" t="n">
        <f aca="false">-(Inputs!$B$18+Inputs!$B$19+Inputs!$B$20+Inputs!$B$21+Inputs!$B$22+Inputs!$B$23)</f>
        <v>-8450</v>
      </c>
      <c r="I27" s="15" t="n">
        <f aca="false">F27+G27+H27</f>
        <v>12596.3</v>
      </c>
      <c r="J27" s="15" t="n">
        <f aca="false">J26+I27</f>
        <v>253853.7</v>
      </c>
      <c r="K27" s="14" t="n">
        <f aca="false">IF(J27&gt;=0,1,0)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LibreOffice/7.6.7.2$Windows_X86_64 LibreOffice_project/dd47e4b30cb7dab30588d6c79c651f218165e3c5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2026-07-25T14:27:39Z</dcterms:created>
  <dc:creator>openpyxl</dc:creator>
  <dc:description/>
  <dc:language>en-US</dc:language>
  <cp:lastModifiedBy/>
  <dcterms:modified xsi:type="dcterms:W3CDTF">2026-07-25T14:27:39Z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